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ce\Documents\data-analysis\datasets\"/>
    </mc:Choice>
  </mc:AlternateContent>
  <xr:revisionPtr revIDLastSave="0" documentId="13_ncr:1_{9786143D-9194-4D8F-A0D3-0DED347B52A3}" xr6:coauthVersionLast="47" xr6:coauthVersionMax="47" xr10:uidLastSave="{00000000-0000-0000-0000-000000000000}"/>
  <bookViews>
    <workbookView xWindow="-120" yWindow="-120" windowWidth="20730" windowHeight="11160" activeTab="1" xr2:uid="{AC28755A-144E-4B0B-9213-E8C5FC589211}"/>
  </bookViews>
  <sheets>
    <sheet name="Intro" sheetId="1" r:id="rId1"/>
    <sheet name="Checklist" sheetId="4" r:id="rId2"/>
    <sheet name="DataSource1" sheetId="2" r:id="rId3"/>
    <sheet name="SalesRefs" sheetId="3" state="hidden" r:id="rId4"/>
    <sheet name="SalesData" sheetId="5" r:id="rId5"/>
    <sheet name="DataSource2" sheetId="6" r:id="rId6"/>
    <sheet name="PaymentsFiltered" sheetId="8" r:id="rId7"/>
    <sheet name="DataSource3" sheetId="7" r:id="rId8"/>
    <sheet name="InstallmentCharges" sheetId="10" r:id="rId9"/>
    <sheet name="InstallmentChargeCalculation" sheetId="11" r:id="rId10"/>
    <sheet name="DataSource4" sheetId="9" r:id="rId11"/>
    <sheet name="Comparison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4" l="1" a="1"/>
  <c r="I25" i="4"/>
  <c r="H25" i="4" a="1"/>
  <c r="H25" i="4"/>
  <c r="I24" i="4" a="1"/>
  <c r="I24" i="4"/>
  <c r="I23" i="4" a="1"/>
  <c r="I23" i="4"/>
  <c r="H24" i="4" a="1"/>
  <c r="H24" i="4"/>
  <c r="H22" i="4" a="1"/>
  <c r="H22" i="4"/>
  <c r="H23" i="4" a="1"/>
  <c r="H23" i="4"/>
  <c r="I22" i="4" a="1"/>
  <c r="I22" i="4"/>
  <c r="B15" i="12"/>
  <c r="B14" i="12"/>
  <c r="B13" i="12"/>
  <c r="B5" i="11"/>
  <c r="B6" i="11"/>
  <c r="B7" i="11"/>
  <c r="B8" i="11"/>
  <c r="B9" i="11"/>
  <c r="B10" i="11"/>
  <c r="B11" i="11"/>
  <c r="B12" i="11"/>
  <c r="A5" i="10"/>
  <c r="A4" i="10"/>
  <c r="A3" i="10"/>
  <c r="B1" i="5"/>
  <c r="I1" i="8" a="1"/>
  <c r="I1" i="8"/>
  <c r="A2" i="11" s="1" a="1"/>
  <c r="A2" i="11" s="1"/>
  <c r="B2" i="11" s="1"/>
  <c r="J7" i="4"/>
  <c r="H1" i="8" a="1"/>
  <c r="H1" i="8"/>
  <c r="B10" i="12" s="1"/>
  <c r="C1" i="8" a="1"/>
  <c r="C1" i="8"/>
  <c r="D1" i="8" a="1"/>
  <c r="D1" i="8"/>
  <c r="E1" i="8" a="1"/>
  <c r="E1" i="8"/>
  <c r="F1" i="8" a="1"/>
  <c r="F1" i="8"/>
  <c r="G1" i="8" a="1"/>
  <c r="G1" i="8"/>
  <c r="B9" i="12" s="1"/>
  <c r="B1" i="8" a="1"/>
  <c r="B1" i="8"/>
  <c r="I12" i="4" s="1" a="1"/>
  <c r="I12" i="4" s="1"/>
  <c r="A1" i="8" a="1"/>
  <c r="A1" i="8"/>
  <c r="C10" i="4"/>
  <c r="A1" i="3" a="1"/>
  <c r="A1" i="3"/>
  <c r="B3" i="11" l="1"/>
  <c r="B4" i="11"/>
  <c r="I1" i="11"/>
  <c r="D3" i="11"/>
  <c r="D4" i="11"/>
  <c r="D5" i="11"/>
  <c r="D6" i="11"/>
  <c r="D7" i="11"/>
  <c r="D8" i="11"/>
  <c r="D9" i="11"/>
  <c r="D10" i="11"/>
  <c r="D11" i="11"/>
  <c r="D12" i="11"/>
  <c r="D2" i="11"/>
  <c r="F1" i="11" s="1"/>
  <c r="J24" i="4"/>
  <c r="B8" i="12"/>
  <c r="B11" i="5"/>
  <c r="B5" i="12" s="1"/>
  <c r="B10" i="5"/>
  <c r="B4" i="12" s="1"/>
  <c r="B9" i="5"/>
  <c r="B8" i="5"/>
  <c r="C18" i="4" s="1"/>
  <c r="B7" i="5"/>
  <c r="C17" i="4" s="1"/>
  <c r="B6" i="5"/>
  <c r="C16" i="4" s="1"/>
  <c r="B5" i="5"/>
  <c r="C15" i="4" s="1"/>
  <c r="B4" i="5"/>
  <c r="C14" i="4" s="1"/>
  <c r="B3" i="5"/>
  <c r="I13" i="4" a="1"/>
  <c r="I13" i="4" s="1"/>
  <c r="H21" i="4" s="1" a="1"/>
  <c r="H21" i="4" s="1"/>
  <c r="J9" i="4"/>
  <c r="I15" i="4" s="1"/>
  <c r="J8" i="4"/>
  <c r="I16" i="4" s="1"/>
  <c r="B2" i="5"/>
  <c r="C12" i="4" s="1"/>
  <c r="C13" i="4"/>
  <c r="B3" i="12" l="1"/>
  <c r="J22" i="4"/>
  <c r="I21" i="4" a="1"/>
  <c r="I21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<sst xmlns="http://schemas.openxmlformats.org/spreadsheetml/2006/main" count="164" uniqueCount="115">
  <si>
    <t>Ref</t>
  </si>
  <si>
    <t>Quantity1</t>
  </si>
  <si>
    <t>Quantity2</t>
  </si>
  <si>
    <t>Cost</t>
  </si>
  <si>
    <t>Seller</t>
  </si>
  <si>
    <t>AuthorisedBy</t>
  </si>
  <si>
    <t>AreaCode</t>
  </si>
  <si>
    <t>Manager</t>
  </si>
  <si>
    <t>SaleDate</t>
  </si>
  <si>
    <t>Notes</t>
  </si>
  <si>
    <t>This</t>
  </si>
  <si>
    <t>Is</t>
  </si>
  <si>
    <t>A</t>
  </si>
  <si>
    <t>Multi-line</t>
  </si>
  <si>
    <t>Note</t>
  </si>
  <si>
    <t>Sale 001 21_22 Acme Computing</t>
  </si>
  <si>
    <t>SEL</t>
  </si>
  <si>
    <t>SW</t>
  </si>
  <si>
    <t>M Mouse</t>
  </si>
  <si>
    <t>D Duck</t>
  </si>
  <si>
    <t>Pluto</t>
  </si>
  <si>
    <t>Goofy</t>
  </si>
  <si>
    <t>Baloo</t>
  </si>
  <si>
    <t>Sale 002 22_23 Acme Publishing</t>
  </si>
  <si>
    <t>NWWM</t>
  </si>
  <si>
    <t>Sale 003 22_23 Acme Catering</t>
  </si>
  <si>
    <t>Scrooge McDuck</t>
  </si>
  <si>
    <t>Collation and Reconciliation Checklist</t>
  </si>
  <si>
    <t>Client:</t>
  </si>
  <si>
    <t>Sale number:</t>
  </si>
  <si>
    <t>Date of Sale:</t>
  </si>
  <si>
    <t>Ref:</t>
  </si>
  <si>
    <t>Date started:</t>
  </si>
  <si>
    <t>Sale ref</t>
  </si>
  <si>
    <t>PaymentDate</t>
  </si>
  <si>
    <t>PaymentType</t>
  </si>
  <si>
    <t>Status</t>
  </si>
  <si>
    <t>Amount</t>
  </si>
  <si>
    <t>Quantity1Portion</t>
  </si>
  <si>
    <t>Quantity2Portion</t>
  </si>
  <si>
    <t>Part</t>
  </si>
  <si>
    <t>Paid</t>
  </si>
  <si>
    <t>Multi</t>
  </si>
  <si>
    <t>Line</t>
  </si>
  <si>
    <t>Full</t>
  </si>
  <si>
    <t>Part - Final</t>
  </si>
  <si>
    <t>Client</t>
  </si>
  <si>
    <t>Sale year</t>
  </si>
  <si>
    <t>001</t>
  </si>
  <si>
    <t>Acme Computing</t>
  </si>
  <si>
    <t>002</t>
  </si>
  <si>
    <t>004</t>
  </si>
  <si>
    <t>003</t>
  </si>
  <si>
    <t>005</t>
  </si>
  <si>
    <t>Sale 004 24_25 Acme Construction</t>
  </si>
  <si>
    <t>Sale 005 24_25 Acme Design</t>
  </si>
  <si>
    <t>Acme Publishing</t>
  </si>
  <si>
    <t>Acme Catering</t>
  </si>
  <si>
    <t>Acme Design</t>
  </si>
  <si>
    <t>Acme Construction</t>
  </si>
  <si>
    <t>Key:</t>
  </si>
  <si>
    <t>=</t>
  </si>
  <si>
    <t>Number of payments:</t>
  </si>
  <si>
    <t>Number of processed payments:</t>
  </si>
  <si>
    <t>Year of repayment:</t>
  </si>
  <si>
    <t>Date final payment processed:</t>
  </si>
  <si>
    <t>Date final payment received:</t>
  </si>
  <si>
    <t>DateProcessed</t>
  </si>
  <si>
    <t>SaleRef</t>
  </si>
  <si>
    <t>Financial year:</t>
  </si>
  <si>
    <t>24/25</t>
  </si>
  <si>
    <t>Repayment year:</t>
  </si>
  <si>
    <t>Amount repaid:</t>
  </si>
  <si>
    <t>Checklist started by:</t>
  </si>
  <si>
    <t>1. Has the final payment been received and processed?</t>
  </si>
  <si>
    <t>Copy and paste from payment document:</t>
  </si>
  <si>
    <t>Total of quantity 1</t>
  </si>
  <si>
    <t>Total of quantity 2</t>
  </si>
  <si>
    <t>Area:</t>
  </si>
  <si>
    <t>Approver:</t>
  </si>
  <si>
    <t>Manager:</t>
  </si>
  <si>
    <t>Seller:</t>
  </si>
  <si>
    <t>Quantity1:</t>
  </si>
  <si>
    <t>Quantity2:</t>
  </si>
  <si>
    <t>Cost:</t>
  </si>
  <si>
    <t>Data to be copied to checklist</t>
  </si>
  <si>
    <t>Field to be completed and copied to checklist</t>
  </si>
  <si>
    <t>Use dropdown to select a sale ref:</t>
  </si>
  <si>
    <t>3. Have both quantities been paid for?</t>
  </si>
  <si>
    <t>2. Has the correct main quantity been entered correctly on the payment form?</t>
  </si>
  <si>
    <t>5. Have you verified the installment charge in data source 3 is correct?</t>
  </si>
  <si>
    <t>Year</t>
  </si>
  <si>
    <t>Charge</t>
  </si>
  <si>
    <t>The Problem</t>
  </si>
  <si>
    <t>At the end of the year my company would do a manual reconciliation of sales data to ensure data consistency across 4 different data sources and that installment payment charges were correct. Colleagues were having to manually consult and compare each data source and do some manual calculation before filling out a checklist.
Each case would take ~30 minutes and the work was very manual and laborious</t>
  </si>
  <si>
    <t>The Solution</t>
  </si>
  <si>
    <t xml:space="preserve"> I identfied that Excel provided a suitable platform to significantly reduce the time taken to complete this task. 
If I copied the relevant sections of each data source into a workbook most of the work could be done in Excel using LOOKUP functions rather than manually and then, by simply selecting the relevant case from a dropdown, the output could be automatically generated and then copied and pasted into the checklist. </t>
  </si>
  <si>
    <t>The Result</t>
  </si>
  <si>
    <t>This is an anonymised and generalised reconstruction of a tool I wrote for a previous employer to simplify the collation and reconciliation of four different data sources.</t>
  </si>
  <si>
    <t>The finished workbook condensed the time it took to reconcile a case from ~30 minutes down to less than 5 minutes. Given there were 100s of cases to check this was quite a significant time saving for my employer</t>
  </si>
  <si>
    <t>Total charge:</t>
  </si>
  <si>
    <t>Installment charge</t>
  </si>
  <si>
    <t>Installment charge:</t>
  </si>
  <si>
    <t xml:space="preserve">4. Does Qty1 and Qty2 on the payment form match the total quantity from data source 2? </t>
  </si>
  <si>
    <t>Checklist question</t>
  </si>
  <si>
    <t>State</t>
  </si>
  <si>
    <t>Outcome</t>
  </si>
  <si>
    <t>Sale Data</t>
  </si>
  <si>
    <t>Qty 1:</t>
  </si>
  <si>
    <t>Qty 2:</t>
  </si>
  <si>
    <t>Qty Paid for</t>
  </si>
  <si>
    <t>Payment form</t>
  </si>
  <si>
    <t>Total:</t>
  </si>
  <si>
    <t>Paid:</t>
  </si>
  <si>
    <t>Total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</si>
</sst>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6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vertical="center" wrapText="1"/>
    </xf>
    <xf numFmtId="0" fontId="0" fillId="2" borderId="0" xfId="0" applyFill="1"/>
    <xf numFmtId="0" fontId="0" fillId="0" borderId="0" xfId="0" quotePrefix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0" fillId="3" borderId="0" xfId="0" applyNumberFormat="1" applyFill="1"/>
    <xf numFmtId="0" fontId="0" fillId="3" borderId="0" xfId="0" applyFill="1"/>
    <xf numFmtId="164" fontId="0" fillId="3" borderId="0" xfId="0" applyNumberFormat="1" applyFill="1"/>
    <xf numFmtId="0" fontId="0" fillId="0" borderId="0" xfId="0" quotePrefix="1" applyAlignment="1">
      <alignment horizontal="center"/>
    </xf>
    <xf numFmtId="0" fontId="0" fillId="3" borderId="0" xfId="0" applyFill="1" applyAlignment="1">
      <alignment horizontal="center"/>
    </xf>
    <xf numFmtId="9" fontId="0" fillId="0" borderId="0" xfId="1" applyFont="1"/>
    <xf numFmtId="0" fontId="1" fillId="0" borderId="0" xfId="0" applyFont="1"/>
    <xf numFmtId="0" fontId="0" fillId="0" borderId="0" xfId="0" applyAlignment="1">
      <alignment vertical="top" wrapText="1"/>
    </xf>
    <xf numFmtId="49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44" fontId="0" fillId="0" borderId="0" xfId="2" applyFont="1"/>
    <xf numFmtId="164" fontId="0" fillId="0" borderId="0" xfId="2" applyNumberFormat="1" applyFont="1"/>
    <xf numFmtId="0" fontId="0" fillId="0" borderId="0" xfId="0" applyAlignment="1">
      <alignment horizontal="center"/>
    </xf>
    <xf numFmtId="0" fontId="0" fillId="0" borderId="0" xfId="0" applyFill="1"/>
    <xf numFmtId="2" fontId="0" fillId="0" borderId="0" xfId="0" applyNumberFormat="1" applyFill="1"/>
    <xf numFmtId="0" fontId="5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13</v>
    <v>3</v>
  </rv>
  <rv s="1">
    <v>13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20004-F7C0-4F32-8B86-8F6ECD2AEF9E}">
  <dimension ref="B2:B11"/>
  <sheetViews>
    <sheetView zoomScale="90" zoomScaleNormal="90" workbookViewId="0">
      <selection activeCell="B6" sqref="B6"/>
    </sheetView>
  </sheetViews>
  <sheetFormatPr defaultRowHeight="15" x14ac:dyDescent="0.25"/>
  <cols>
    <col min="2" max="2" width="91.140625" customWidth="1"/>
  </cols>
  <sheetData>
    <row r="2" spans="2:2" ht="30" x14ac:dyDescent="0.25">
      <c r="B2" s="4" t="s">
        <v>98</v>
      </c>
    </row>
    <row r="4" spans="2:2" ht="21" x14ac:dyDescent="0.35">
      <c r="B4" s="16" t="s">
        <v>93</v>
      </c>
    </row>
    <row r="5" spans="2:2" ht="90" x14ac:dyDescent="0.25">
      <c r="B5" s="17" t="s">
        <v>94</v>
      </c>
    </row>
    <row r="7" spans="2:2" ht="21" x14ac:dyDescent="0.35">
      <c r="B7" s="16" t="s">
        <v>95</v>
      </c>
    </row>
    <row r="8" spans="2:2" ht="75.75" customHeight="1" x14ac:dyDescent="0.25">
      <c r="B8" s="17" t="s">
        <v>96</v>
      </c>
    </row>
    <row r="10" spans="2:2" ht="21" x14ac:dyDescent="0.35">
      <c r="B10" s="16" t="s">
        <v>97</v>
      </c>
    </row>
    <row r="11" spans="2:2" ht="45" x14ac:dyDescent="0.25">
      <c r="B11" s="17" t="s">
        <v>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FAFE6-421E-44C1-BD0E-60E57657D158}">
  <dimension ref="B2:N25"/>
  <sheetViews>
    <sheetView tabSelected="1" topLeftCell="A9" workbookViewId="0">
      <selection activeCell="I25" sqref="I25"/>
    </sheetView>
  </sheetViews>
  <sheetFormatPr defaultRowHeight="15" x14ac:dyDescent="0.25"/>
  <cols>
    <col min="2" max="2" width="31.5703125" customWidth="1"/>
    <col min="3" max="3" width="18" customWidth="1"/>
    <col min="8" max="8" width="11.7109375" customWidth="1"/>
    <col min="9" max="9" width="10.42578125" bestFit="1" customWidth="1"/>
  </cols>
  <sheetData>
    <row r="2" spans="2:12" x14ac:dyDescent="0.25">
      <c r="I2" s="9" t="s">
        <v>60</v>
      </c>
      <c r="J2" s="5"/>
      <c r="K2" s="8" t="s">
        <v>61</v>
      </c>
      <c r="L2" t="s">
        <v>86</v>
      </c>
    </row>
    <row r="3" spans="2:12" x14ac:dyDescent="0.25">
      <c r="J3" s="11"/>
      <c r="K3" s="13" t="s">
        <v>61</v>
      </c>
      <c r="L3" t="s">
        <v>85</v>
      </c>
    </row>
    <row r="4" spans="2:12" ht="21" x14ac:dyDescent="0.35">
      <c r="B4" s="19" t="s">
        <v>27</v>
      </c>
      <c r="C4" s="19"/>
      <c r="D4" s="19"/>
      <c r="E4" s="19"/>
      <c r="F4" s="19"/>
      <c r="G4" s="19"/>
      <c r="H4" s="19"/>
      <c r="I4" s="19"/>
      <c r="J4" s="19"/>
    </row>
    <row r="7" spans="2:12" x14ac:dyDescent="0.25">
      <c r="B7" s="7" t="s">
        <v>87</v>
      </c>
      <c r="F7" t="s">
        <v>62</v>
      </c>
      <c r="J7" t="str">
        <f>IF(ISBLANK(C7),"",COUNTIF(DataSource2!A1:A12,"="&amp;C7))</f>
        <v/>
      </c>
    </row>
    <row r="8" spans="2:12" x14ac:dyDescent="0.25">
      <c r="F8" t="s">
        <v>63</v>
      </c>
      <c r="J8" t="str">
        <f>IF(ISNUMBER(J7),COUNTIFS(DataSource2!A:A,"="&amp;C7,DataSource2!D:D,"=Paid"), "")</f>
        <v/>
      </c>
    </row>
    <row r="9" spans="2:12" x14ac:dyDescent="0.25">
      <c r="B9" s="7" t="s">
        <v>73</v>
      </c>
      <c r="C9" s="5"/>
      <c r="F9" t="s">
        <v>64</v>
      </c>
      <c r="J9" t="str">
        <f ca="1">IF(ISNUMBER(J7), (YEAR(NOW())-_xlfn.XLOOKUP(MID(Checklist!$C$7,16,LEN(Checklist!$C$7)-15),DataSource3!A2:A6,DataSource3!C2:C6,"Not in data source 3",0)) + 1, "")</f>
        <v/>
      </c>
    </row>
    <row r="10" spans="2:12" x14ac:dyDescent="0.25">
      <c r="B10" t="s">
        <v>32</v>
      </c>
      <c r="C10" s="10">
        <f ca="1">NOW()</f>
        <v>45599.080128819442</v>
      </c>
    </row>
    <row r="12" spans="2:12" x14ac:dyDescent="0.25">
      <c r="B12" t="s">
        <v>29</v>
      </c>
      <c r="C12" s="11" t="str">
        <f>SalesData!$B2</f>
        <v/>
      </c>
      <c r="F12" t="s">
        <v>66</v>
      </c>
      <c r="I12" s="10" t="str" cm="1">
        <f t="array" aca="1" ref="I12" ca="1">_xlfn.IFS(AND(ISERROR(PaymentsFiltered!B1), NOT(ISNUMBER((Checklist!J7)))), "", OR(INDIRECT("PaymentsFiltered!C"&amp;Checklist!J7) = "Full", INDIRECT("PaymentsFiltered!C"&amp;Checklist!J7) = "Part - Final"), INDIRECT("PaymentsFiltered!B"&amp;Checklist!J7))</f>
        <v/>
      </c>
    </row>
    <row r="13" spans="2:12" x14ac:dyDescent="0.25">
      <c r="B13" t="s">
        <v>28</v>
      </c>
      <c r="C13" s="11" t="str">
        <f>SalesData!$B3</f>
        <v/>
      </c>
      <c r="F13" t="s">
        <v>65</v>
      </c>
      <c r="I13" s="10" t="str" cm="1">
        <f t="array" aca="1" ref="I13" ca="1">_xlfn.IFS(NOT(ISNUMBER(I12)), "", AND(ISNUMBER(INDIRECT("PaymentsFiltered!I"&amp;Checklist!J7)), YEAR(INDIRECT("PaymentsFiltered!I"&amp;Checklist!J7)) &lt;&gt; 1900), INDIRECT("PaymentsFiltered!I"&amp;Checklist!J7), YEAR(INDIRECT("PaymentsFiltered!I"&amp;Checklist!J7)) = 1900, "Payment not yet processed")</f>
        <v/>
      </c>
    </row>
    <row r="14" spans="2:12" x14ac:dyDescent="0.25">
      <c r="B14" t="s">
        <v>30</v>
      </c>
      <c r="C14" s="10" t="str">
        <f>SalesData!$B4</f>
        <v/>
      </c>
      <c r="F14" t="s">
        <v>69</v>
      </c>
      <c r="I14" s="11" t="s">
        <v>70</v>
      </c>
    </row>
    <row r="15" spans="2:12" x14ac:dyDescent="0.25">
      <c r="B15" t="s">
        <v>78</v>
      </c>
      <c r="C15" s="10" t="str">
        <f>SalesData!$B5</f>
        <v/>
      </c>
      <c r="F15" t="s">
        <v>71</v>
      </c>
      <c r="I15" s="11" t="str">
        <f ca="1">_xlfn.CONCAT("Year ", J9)</f>
        <v xml:space="preserve">Year </v>
      </c>
    </row>
    <row r="16" spans="2:12" x14ac:dyDescent="0.25">
      <c r="B16" t="s">
        <v>79</v>
      </c>
      <c r="C16" s="10" t="str">
        <f>SalesData!$B6</f>
        <v/>
      </c>
      <c r="F16" t="s">
        <v>72</v>
      </c>
      <c r="I16" s="12" t="str">
        <f ca="1">IF(ISNUMBER(J8), SUM(INDIRECT("PaymentsFiltered!H1:H"&amp;J8)), "")</f>
        <v/>
      </c>
    </row>
    <row r="17" spans="2:14" x14ac:dyDescent="0.25">
      <c r="B17" t="s">
        <v>80</v>
      </c>
      <c r="C17" s="10" t="str">
        <f>SalesData!$B7</f>
        <v/>
      </c>
    </row>
    <row r="18" spans="2:14" x14ac:dyDescent="0.25">
      <c r="B18" t="s">
        <v>81</v>
      </c>
      <c r="C18" s="10" t="str">
        <f>SalesData!$B8</f>
        <v/>
      </c>
    </row>
    <row r="19" spans="2:14" x14ac:dyDescent="0.25">
      <c r="C19" s="3"/>
    </row>
    <row r="20" spans="2:14" x14ac:dyDescent="0.25">
      <c r="B20" s="24" t="s">
        <v>104</v>
      </c>
      <c r="C20" s="24"/>
      <c r="D20" s="24"/>
      <c r="E20" s="24"/>
      <c r="F20" s="24"/>
      <c r="G20" s="24"/>
      <c r="H20" s="8" t="s">
        <v>105</v>
      </c>
      <c r="I20" s="8" t="s">
        <v>106</v>
      </c>
      <c r="J20" s="24" t="s">
        <v>9</v>
      </c>
      <c r="K20" s="24"/>
      <c r="L20" s="24"/>
      <c r="M20" s="24"/>
      <c r="N20" s="24"/>
    </row>
    <row r="21" spans="2:14" x14ac:dyDescent="0.25">
      <c r="B21" s="20" t="s">
        <v>74</v>
      </c>
      <c r="C21" s="20"/>
      <c r="D21" s="20"/>
      <c r="E21" s="20"/>
      <c r="F21" s="20"/>
      <c r="G21" s="20"/>
      <c r="H21" s="14" t="str" cm="1">
        <f t="array" aca="1" ref="H21" ca="1">_xlfn.IFS(AND(ISNUMBER(I12), ISNUMBER(I13)), "YES", AND(ISNUMBER(I12), I13=""), "NO", AND(I12="", I13=""), "")</f>
        <v/>
      </c>
      <c r="I21" s="8" t="str" cm="1">
        <f t="array" aca="1" ref="I21" ca="1">_xlfn.IFS(H21="YES", "PASS", H21="NO", "FAIL", H21="", "")</f>
        <v/>
      </c>
      <c r="J21" s="24"/>
      <c r="K21" s="24"/>
      <c r="L21" s="24"/>
      <c r="M21" s="24"/>
      <c r="N21" s="24"/>
    </row>
    <row r="22" spans="2:14" x14ac:dyDescent="0.25">
      <c r="B22" s="20" t="s">
        <v>89</v>
      </c>
      <c r="C22" s="20"/>
      <c r="D22" s="20"/>
      <c r="E22" s="20"/>
      <c r="F22" s="20"/>
      <c r="G22" s="20"/>
      <c r="H22" s="14" t="str" cm="1">
        <f t="array" ref="H22">_xlfn.IFS(C7="", "", SalesData!B9=DataSource4!B2, "YES", TRUE, "NO")</f>
        <v/>
      </c>
      <c r="I22" s="8" t="str" cm="1">
        <f t="array" ref="I22">_xlfn.IFS(H22="", "",H22="YES", "PASS", TRUE, "FAIL")</f>
        <v/>
      </c>
      <c r="J22" s="27" t="str">
        <f>IF(I22="FAIL", "Check comparison tab", "")</f>
        <v/>
      </c>
      <c r="K22" s="27"/>
      <c r="L22" s="27"/>
      <c r="M22" s="27"/>
      <c r="N22" s="27"/>
    </row>
    <row r="23" spans="2:14" x14ac:dyDescent="0.25">
      <c r="B23" t="s">
        <v>88</v>
      </c>
      <c r="H23" s="14" t="str" cm="1">
        <f t="array" ref="H23">_xlfn.IFS(C7="", "", AND(SalesData!B9=SUMIF(PaymentsFiltered!A:A, "="&amp;Checklist!C7,PaymentsFiltered!F:F), SalesData!B10=SUMIF(PaymentsFiltered!A:A, "="&amp;Checklist!C7,PaymentsFiltered!G:G)), "YES", TRUE, "NO")</f>
        <v/>
      </c>
      <c r="I23" s="8" t="str" cm="1">
        <f t="array" ref="I23">_xlfn.IFS(H23="", "", H23="YES", "PASS", TRUE, "FAIL")</f>
        <v/>
      </c>
    </row>
    <row r="24" spans="2:14" x14ac:dyDescent="0.25">
      <c r="B24" t="s">
        <v>103</v>
      </c>
      <c r="H24" s="14" t="str" cm="1">
        <f t="array" ref="H24">_xlfn.IFS(C7="", "", AND(SUM(PaymentsFiltered!F:F) = DataSource4!B2, SUM(PaymentsFiltered!G:G) = DataSource4!B3), "YES", TRUE, "NO")</f>
        <v/>
      </c>
      <c r="I24" s="8" t="str" cm="1">
        <f t="array" ref="I24">_xlfn.IFS(H24="", "", H24="YES", "PASS", TRUE, "FAIL")</f>
        <v/>
      </c>
      <c r="J24" s="27" t="str">
        <f>IF(I24="FAIL", "Check comparison tab", "")</f>
        <v/>
      </c>
      <c r="K24" s="27"/>
      <c r="L24" s="27"/>
      <c r="M24" s="27"/>
      <c r="N24" s="27"/>
    </row>
    <row r="25" spans="2:14" x14ac:dyDescent="0.25">
      <c r="B25" t="s">
        <v>90</v>
      </c>
      <c r="H25" s="14" t="str" cm="1">
        <f t="array" ref="H25">_xlfn.IFS(C7="", "", DataSource3!D2=InstallmentChargeCalculation!F1, "YES",TRUE, "NO")</f>
        <v/>
      </c>
      <c r="I25" s="8" t="str" cm="1">
        <f t="array" ref="I25">_xlfn.IFS(H25="", "", H25="YES", "PASS", TRUE, "FAIL")</f>
        <v/>
      </c>
    </row>
  </sheetData>
  <mergeCells count="8">
    <mergeCell ref="J24:N24"/>
    <mergeCell ref="B4:J4"/>
    <mergeCell ref="B21:G21"/>
    <mergeCell ref="B22:G22"/>
    <mergeCell ref="B20:G20"/>
    <mergeCell ref="J20:N20"/>
    <mergeCell ref="J21:N21"/>
    <mergeCell ref="J22:N22"/>
  </mergeCells>
  <conditionalFormatting sqref="I21:I25">
    <cfRule type="cellIs" dxfId="4" priority="1" operator="equal">
      <formula>"FAIL"</formula>
    </cfRule>
    <cfRule type="cellIs" dxfId="3" priority="2" operator="equal">
      <formula>"PASS"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BE2802F-7052-4FC0-9394-343113071EA4}">
          <x14:formula1>
            <xm:f>DataSource1!$A$2:$A$13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21913-99BB-458E-B9C2-55215213A7E5}">
  <dimension ref="A1:J13"/>
  <sheetViews>
    <sheetView workbookViewId="0">
      <selection activeCell="J2" sqref="J2"/>
    </sheetView>
  </sheetViews>
  <sheetFormatPr defaultRowHeight="15" x14ac:dyDescent="0.25"/>
  <cols>
    <col min="1" max="1" width="29.28515625" bestFit="1" customWidth="1"/>
    <col min="4" max="4" width="10.42578125" bestFit="1" customWidth="1"/>
    <col min="7" max="7" width="15.5703125" bestFit="1" customWidth="1"/>
    <col min="10" max="10" width="10.140625" bestFit="1" customWidth="1"/>
  </cols>
  <sheetData>
    <row r="1" spans="1:10" x14ac:dyDescent="0.25">
      <c r="A1" t="s">
        <v>0</v>
      </c>
      <c r="B1" t="s">
        <v>6</v>
      </c>
      <c r="C1" t="s">
        <v>9</v>
      </c>
      <c r="D1" t="s">
        <v>8</v>
      </c>
      <c r="E1" t="s">
        <v>4</v>
      </c>
      <c r="F1" t="s">
        <v>7</v>
      </c>
      <c r="G1" t="s">
        <v>5</v>
      </c>
      <c r="H1" t="s">
        <v>1</v>
      </c>
      <c r="I1" t="s">
        <v>2</v>
      </c>
      <c r="J1" t="s">
        <v>3</v>
      </c>
    </row>
    <row r="2" spans="1:10" x14ac:dyDescent="0.25">
      <c r="A2" t="s">
        <v>15</v>
      </c>
      <c r="B2" t="s">
        <v>16</v>
      </c>
      <c r="C2" t="s">
        <v>10</v>
      </c>
      <c r="D2" s="2">
        <v>44632</v>
      </c>
      <c r="E2" t="s">
        <v>18</v>
      </c>
      <c r="F2" t="s">
        <v>19</v>
      </c>
      <c r="G2" t="s">
        <v>22</v>
      </c>
      <c r="H2">
        <v>5.09</v>
      </c>
      <c r="I2">
        <v>3.62</v>
      </c>
      <c r="J2" s="1">
        <v>27805.3</v>
      </c>
    </row>
    <row r="3" spans="1:10" x14ac:dyDescent="0.25">
      <c r="C3" t="s">
        <v>11</v>
      </c>
    </row>
    <row r="4" spans="1:10" x14ac:dyDescent="0.25">
      <c r="C4" t="s">
        <v>12</v>
      </c>
    </row>
    <row r="5" spans="1:10" x14ac:dyDescent="0.25">
      <c r="C5" t="s">
        <v>13</v>
      </c>
    </row>
    <row r="6" spans="1:10" x14ac:dyDescent="0.25">
      <c r="C6" t="s">
        <v>14</v>
      </c>
    </row>
    <row r="7" spans="1:10" x14ac:dyDescent="0.25">
      <c r="A7" t="s">
        <v>23</v>
      </c>
      <c r="B7" t="s">
        <v>17</v>
      </c>
      <c r="C7" t="s">
        <v>10</v>
      </c>
      <c r="D7" s="2">
        <v>44819</v>
      </c>
      <c r="E7" t="s">
        <v>20</v>
      </c>
      <c r="F7" t="s">
        <v>21</v>
      </c>
      <c r="G7" t="s">
        <v>22</v>
      </c>
      <c r="H7">
        <v>9.1</v>
      </c>
      <c r="I7">
        <v>8.5</v>
      </c>
      <c r="J7" s="1">
        <v>51621.94</v>
      </c>
    </row>
    <row r="8" spans="1:10" x14ac:dyDescent="0.25">
      <c r="C8" t="s">
        <v>11</v>
      </c>
    </row>
    <row r="9" spans="1:10" x14ac:dyDescent="0.25">
      <c r="C9" t="s">
        <v>13</v>
      </c>
    </row>
    <row r="10" spans="1:10" x14ac:dyDescent="0.25">
      <c r="A10" t="s">
        <v>25</v>
      </c>
      <c r="B10" t="s">
        <v>17</v>
      </c>
      <c r="C10" t="s">
        <v>10</v>
      </c>
      <c r="D10" s="2">
        <v>44960</v>
      </c>
      <c r="E10" t="s">
        <v>18</v>
      </c>
      <c r="F10" t="s">
        <v>21</v>
      </c>
      <c r="G10" t="s">
        <v>26</v>
      </c>
      <c r="H10">
        <v>4.25</v>
      </c>
      <c r="I10">
        <v>3.1</v>
      </c>
      <c r="J10" s="1">
        <v>15749.5</v>
      </c>
    </row>
    <row r="11" spans="1:10" x14ac:dyDescent="0.25">
      <c r="A11" t="s">
        <v>54</v>
      </c>
      <c r="B11" t="s">
        <v>24</v>
      </c>
      <c r="C11" t="s">
        <v>10</v>
      </c>
      <c r="D11" s="2">
        <v>45480</v>
      </c>
      <c r="E11" t="s">
        <v>20</v>
      </c>
      <c r="F11" t="s">
        <v>19</v>
      </c>
      <c r="G11" t="s">
        <v>22</v>
      </c>
    </row>
    <row r="12" spans="1:10" x14ac:dyDescent="0.25">
      <c r="C12" t="s">
        <v>11</v>
      </c>
    </row>
    <row r="13" spans="1:10" x14ac:dyDescent="0.25">
      <c r="A13" t="s">
        <v>55</v>
      </c>
      <c r="B13" t="s">
        <v>16</v>
      </c>
      <c r="C13" t="s">
        <v>10</v>
      </c>
      <c r="D13" s="2">
        <v>45524</v>
      </c>
      <c r="E13" t="s">
        <v>18</v>
      </c>
      <c r="F13" t="s">
        <v>19</v>
      </c>
      <c r="G13" t="s">
        <v>26</v>
      </c>
      <c r="H13">
        <v>2.0499999999999998</v>
      </c>
      <c r="I13">
        <v>1.8</v>
      </c>
      <c r="J13" s="1">
        <v>8372.34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70FE0-41FD-4BF6-A914-796FC76EC087}">
  <dimension ref="A1:A6"/>
  <sheetViews>
    <sheetView workbookViewId="0">
      <selection activeCell="B10" sqref="B10"/>
    </sheetView>
  </sheetViews>
  <sheetFormatPr defaultRowHeight="15" x14ac:dyDescent="0.25"/>
  <sheetData>
    <row r="1" spans="1:1" x14ac:dyDescent="0.25">
      <c r="A1" t="str" cm="1">
        <f t="array" ref="A1:A6">_xlfn.UNIQUE(DataSource1!A2:A13)</f>
        <v>Sale 001 21_22 Acme Computing</v>
      </c>
    </row>
    <row r="2" spans="1:1" x14ac:dyDescent="0.25">
      <c r="A2">
        <v>0</v>
      </c>
    </row>
    <row r="3" spans="1:1" x14ac:dyDescent="0.25">
      <c r="A3" t="str">
        <v>Sale 002 22_23 Acme Publishing</v>
      </c>
    </row>
    <row r="4" spans="1:1" x14ac:dyDescent="0.25">
      <c r="A4" t="str">
        <v>Sale 003 22_23 Acme Catering</v>
      </c>
    </row>
    <row r="5" spans="1:1" x14ac:dyDescent="0.25">
      <c r="A5" t="str">
        <v>Sale 004 24_25 Acme Construction</v>
      </c>
    </row>
    <row r="6" spans="1:1" x14ac:dyDescent="0.25">
      <c r="A6" t="str">
        <v>Sale 005 24_25 Acme Design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5468E-C08F-47DA-AE1C-0275F9F989FE}">
  <dimension ref="A1:B11"/>
  <sheetViews>
    <sheetView workbookViewId="0">
      <selection activeCell="A12" sqref="A12"/>
    </sheetView>
  </sheetViews>
  <sheetFormatPr defaultRowHeight="15" x14ac:dyDescent="0.25"/>
  <cols>
    <col min="1" max="1" width="20.5703125" customWidth="1"/>
    <col min="2" max="2" width="29.140625" bestFit="1" customWidth="1"/>
  </cols>
  <sheetData>
    <row r="1" spans="1:2" x14ac:dyDescent="0.25">
      <c r="A1" t="s">
        <v>31</v>
      </c>
      <c r="B1" t="str">
        <f>IF(Checklist!$C$7&lt;&gt;"", _xlfn.XLOOKUP(Checklist!$C$7, DataSource1!$A:$A, DataSource1!A:A,"", 0, ), "")</f>
        <v/>
      </c>
    </row>
    <row r="2" spans="1:2" x14ac:dyDescent="0.25">
      <c r="A2" t="s">
        <v>29</v>
      </c>
      <c r="B2" t="str">
        <f>MID(B1, 6, 3)</f>
        <v/>
      </c>
    </row>
    <row r="3" spans="1:2" x14ac:dyDescent="0.25">
      <c r="A3" t="s">
        <v>28</v>
      </c>
      <c r="B3" t="str">
        <f>IF(B1&lt;&gt;"", MID(B1, 16, LEN(B1)-15), "")</f>
        <v/>
      </c>
    </row>
    <row r="4" spans="1:2" x14ac:dyDescent="0.25">
      <c r="A4" t="s">
        <v>30</v>
      </c>
      <c r="B4" s="2" t="str">
        <f>IF(B1&lt;&gt;"", _xlfn.XLOOKUP(Checklist!$C$7, DataSource1!$A:$A, DataSource1!D:D, , 0, ), "")</f>
        <v/>
      </c>
    </row>
    <row r="5" spans="1:2" x14ac:dyDescent="0.25">
      <c r="A5" t="s">
        <v>78</v>
      </c>
      <c r="B5" s="2" t="str">
        <f>IF(B1&lt;&gt;"", _xlfn.XLOOKUP(Checklist!$C$7, DataSource1!$A:$A, DataSource1!B:B, , 0, ), "")</f>
        <v/>
      </c>
    </row>
    <row r="6" spans="1:2" x14ac:dyDescent="0.25">
      <c r="A6" t="s">
        <v>79</v>
      </c>
      <c r="B6" s="2" t="str">
        <f>IF(B1&lt;&gt;"", _xlfn.XLOOKUP(Checklist!$C$7, DataSource1!$A:$A, DataSource1!G:G, , 0, ), "")</f>
        <v/>
      </c>
    </row>
    <row r="7" spans="1:2" x14ac:dyDescent="0.25">
      <c r="A7" t="s">
        <v>80</v>
      </c>
      <c r="B7" s="2" t="str">
        <f>IF(B1&lt;&gt;"", _xlfn.XLOOKUP(Checklist!$C$7, DataSource1!$A:$A, DataSource1!F:F, , 0, ), "")</f>
        <v/>
      </c>
    </row>
    <row r="8" spans="1:2" x14ac:dyDescent="0.25">
      <c r="A8" t="s">
        <v>81</v>
      </c>
      <c r="B8" s="2" t="str">
        <f>IF(B1&lt;&gt;"", _xlfn.XLOOKUP(Checklist!$C$7, DataSource1!$A:$A, DataSource1!E:E, , 0, ), "")</f>
        <v/>
      </c>
    </row>
    <row r="9" spans="1:2" x14ac:dyDescent="0.25">
      <c r="A9" t="s">
        <v>82</v>
      </c>
      <c r="B9" s="3" t="str">
        <f>IF(B1&lt;&gt;"", _xlfn.XLOOKUP(Checklist!$C$7, DataSource1!$A:$A, DataSource1!H:H, , 0, ), "")</f>
        <v/>
      </c>
    </row>
    <row r="10" spans="1:2" x14ac:dyDescent="0.25">
      <c r="A10" t="s">
        <v>83</v>
      </c>
      <c r="B10" s="3" t="str">
        <f>IF(B1&lt;&gt;"", _xlfn.XLOOKUP(Checklist!$C$7, DataSource1!$A:$A, DataSource1!I:I, , 0, ), "")</f>
        <v/>
      </c>
    </row>
    <row r="11" spans="1:2" x14ac:dyDescent="0.25">
      <c r="A11" t="s">
        <v>84</v>
      </c>
      <c r="B11" s="1" t="str">
        <f>IF(B1&lt;&gt;"", _xlfn.XLOOKUP(Checklist!$C$7, DataSource1!$A:$A, DataSource1!J:J, , 0, ), "")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5F845-0B1A-4D3F-A2DC-6D382A7A4D0A}">
  <dimension ref="A1:J12"/>
  <sheetViews>
    <sheetView workbookViewId="0">
      <selection activeCell="H13" sqref="H13"/>
    </sheetView>
  </sheetViews>
  <sheetFormatPr defaultRowHeight="15" x14ac:dyDescent="0.25"/>
  <cols>
    <col min="1" max="1" width="29.28515625" bestFit="1" customWidth="1"/>
    <col min="2" max="3" width="12.5703125" bestFit="1" customWidth="1"/>
    <col min="6" max="6" width="16" bestFit="1" customWidth="1"/>
    <col min="7" max="7" width="21.7109375" customWidth="1"/>
    <col min="8" max="8" width="10.140625" style="1" bestFit="1" customWidth="1"/>
    <col min="9" max="9" width="14.28515625" bestFit="1" customWidth="1"/>
  </cols>
  <sheetData>
    <row r="1" spans="1:10" x14ac:dyDescent="0.25">
      <c r="A1" t="s">
        <v>68</v>
      </c>
      <c r="B1" t="s">
        <v>34</v>
      </c>
      <c r="C1" t="s">
        <v>35</v>
      </c>
      <c r="D1" t="s">
        <v>36</v>
      </c>
      <c r="E1" t="s">
        <v>9</v>
      </c>
      <c r="F1" t="s">
        <v>38</v>
      </c>
      <c r="G1" t="s">
        <v>39</v>
      </c>
      <c r="H1" s="1" t="s">
        <v>37</v>
      </c>
      <c r="I1" t="s">
        <v>67</v>
      </c>
    </row>
    <row r="2" spans="1:10" x14ac:dyDescent="0.25">
      <c r="A2" t="s">
        <v>15</v>
      </c>
      <c r="B2" s="2">
        <v>44761</v>
      </c>
      <c r="C2" t="s">
        <v>40</v>
      </c>
      <c r="D2" t="s">
        <v>41</v>
      </c>
      <c r="E2" t="s">
        <v>10</v>
      </c>
      <c r="F2">
        <v>3.1</v>
      </c>
      <c r="G2">
        <v>2.15</v>
      </c>
      <c r="H2" s="1">
        <v>10801.95</v>
      </c>
      <c r="I2" s="2">
        <v>44767</v>
      </c>
      <c r="J2" s="18"/>
    </row>
    <row r="3" spans="1:10" x14ac:dyDescent="0.25">
      <c r="E3" t="s">
        <v>11</v>
      </c>
    </row>
    <row r="4" spans="1:10" x14ac:dyDescent="0.25">
      <c r="E4" t="s">
        <v>12</v>
      </c>
    </row>
    <row r="5" spans="1:10" x14ac:dyDescent="0.25">
      <c r="E5" t="s">
        <v>42</v>
      </c>
    </row>
    <row r="6" spans="1:10" x14ac:dyDescent="0.25">
      <c r="E6" t="s">
        <v>43</v>
      </c>
    </row>
    <row r="7" spans="1:10" x14ac:dyDescent="0.25">
      <c r="E7" t="s">
        <v>14</v>
      </c>
    </row>
    <row r="8" spans="1:10" x14ac:dyDescent="0.25">
      <c r="A8" t="s">
        <v>23</v>
      </c>
      <c r="B8" s="2">
        <v>44829</v>
      </c>
      <c r="C8" t="s">
        <v>44</v>
      </c>
      <c r="D8" t="s">
        <v>41</v>
      </c>
      <c r="E8" t="s">
        <v>10</v>
      </c>
      <c r="F8">
        <v>9.1</v>
      </c>
      <c r="G8">
        <v>8.5</v>
      </c>
      <c r="H8" s="1">
        <v>51621.94</v>
      </c>
      <c r="I8" s="2">
        <v>44834</v>
      </c>
    </row>
    <row r="9" spans="1:10" x14ac:dyDescent="0.25">
      <c r="E9" t="s">
        <v>11</v>
      </c>
    </row>
    <row r="10" spans="1:10" x14ac:dyDescent="0.25">
      <c r="A10" t="s">
        <v>15</v>
      </c>
      <c r="B10" s="2">
        <v>44844</v>
      </c>
      <c r="C10" t="s">
        <v>45</v>
      </c>
      <c r="D10" t="s">
        <v>41</v>
      </c>
      <c r="E10" t="s">
        <v>10</v>
      </c>
      <c r="F10">
        <v>1.99</v>
      </c>
      <c r="G10">
        <v>1.47</v>
      </c>
      <c r="H10" s="1">
        <v>17003.349999999999</v>
      </c>
      <c r="I10" s="2">
        <v>45117</v>
      </c>
    </row>
    <row r="11" spans="1:10" x14ac:dyDescent="0.25">
      <c r="E11" t="s">
        <v>11</v>
      </c>
    </row>
    <row r="12" spans="1:10" x14ac:dyDescent="0.25">
      <c r="E12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0DA0D-BCE0-416B-907F-4EDAD8560B7C}">
  <dimension ref="A1:I1"/>
  <sheetViews>
    <sheetView workbookViewId="0">
      <selection activeCell="B2" sqref="B2"/>
    </sheetView>
  </sheetViews>
  <sheetFormatPr defaultRowHeight="15" x14ac:dyDescent="0.25"/>
  <cols>
    <col min="2" max="2" width="10.42578125" style="2" bestFit="1" customWidth="1"/>
    <col min="6" max="6" width="10.42578125" bestFit="1" customWidth="1"/>
    <col min="7" max="7" width="10.42578125" style="3" bestFit="1" customWidth="1"/>
    <col min="8" max="8" width="10.140625" style="1" bestFit="1" customWidth="1"/>
    <col min="9" max="9" width="10.42578125" style="2" bestFit="1" customWidth="1"/>
  </cols>
  <sheetData>
    <row r="1" spans="1:9" x14ac:dyDescent="0.25">
      <c r="A1" s="2" t="e" cm="1" vm="1">
        <f t="array" ref="A1">_xlfn._xlws.FILTER(DataSource2!A2:A10, (DataSource2!$A$2:$A$10 = Checklist!$C$7)* (DataSource2!$A$2:$A$10&lt;&gt;""))</f>
        <v>#VALUE!</v>
      </c>
      <c r="B1" s="2" t="e" cm="1" vm="1">
        <f t="array" ref="B1">_xlfn._xlws.FILTER(DataSource2!B2:B10, (DataSource2!$A$2:$A$10 = Checklist!$C$7)* (DataSource2!$A$2:$A$10&lt;&gt;""))</f>
        <v>#VALUE!</v>
      </c>
      <c r="C1" s="2" t="e" cm="1" vm="1">
        <f t="array" ref="C1">_xlfn._xlws.FILTER(DataSource2!C2:C10, (DataSource2!$A$2:$A$10 = Checklist!$C$7)* (DataSource2!$A$2:$A$10&lt;&gt;""))</f>
        <v>#VALUE!</v>
      </c>
      <c r="D1" s="2" t="e" cm="1" vm="1">
        <f t="array" ref="D1">_xlfn._xlws.FILTER(DataSource2!D2:D10, (DataSource2!$A$2:$A$10 = Checklist!$C$7)* (DataSource2!$A$2:$A$10&lt;&gt;""))</f>
        <v>#VALUE!</v>
      </c>
      <c r="E1" s="2" t="e" cm="1" vm="1">
        <f t="array" ref="E1">_xlfn._xlws.FILTER(DataSource2!E2:E10, (DataSource2!$A$2:$A$10 = Checklist!$C$7)* (DataSource2!$A$2:$A$10&lt;&gt;""))</f>
        <v>#VALUE!</v>
      </c>
      <c r="F1" s="3" t="e" cm="1" vm="1">
        <f t="array" ref="F1">_xlfn._xlws.FILTER(DataSource2!F2:F10, (DataSource2!$A$2:$A$10 = Checklist!$C$7)* (DataSource2!$A$2:$A$10&lt;&gt;""))</f>
        <v>#VALUE!</v>
      </c>
      <c r="G1" s="3" t="e" cm="1" vm="1">
        <f t="array" ref="G1">_xlfn._xlws.FILTER(DataSource2!G2:G10, (DataSource2!$A$2:$A$10 = Checklist!$C$7)* (DataSource2!$A$2:$A$10&lt;&gt;""))</f>
        <v>#VALUE!</v>
      </c>
      <c r="H1" s="1" t="e" cm="1" vm="1">
        <f t="array" ref="H1">_xlfn._xlws.FILTER(DataSource2!H2:H10, (DataSource2!$A$2:$A$10 = Checklist!$C$7)* (DataSource2!$A$2:$A$10&lt;&gt;""))</f>
        <v>#VALUE!</v>
      </c>
      <c r="I1" s="2" t="e" cm="1" vm="1">
        <f t="array" ref="I1">_xlfn._xlws.FILTER(DataSource2!I2:I10, (DataSource2!$A$2:$A$10 = Checklist!$C$7)* (DataSource2!$A$2:$A$10&lt;&gt;""))</f>
        <v>#VALUE!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A1F48-2BDA-492A-9C30-FD781909A4C0}">
  <dimension ref="A1:D6"/>
  <sheetViews>
    <sheetView workbookViewId="0">
      <selection activeCell="D3" sqref="D3"/>
    </sheetView>
  </sheetViews>
  <sheetFormatPr defaultRowHeight="15" x14ac:dyDescent="0.25"/>
  <cols>
    <col min="1" max="1" width="31.140625" bestFit="1" customWidth="1"/>
    <col min="4" max="4" width="17.7109375" bestFit="1" customWidth="1"/>
  </cols>
  <sheetData>
    <row r="1" spans="1:4" x14ac:dyDescent="0.25">
      <c r="A1" t="s">
        <v>46</v>
      </c>
      <c r="B1" t="s">
        <v>33</v>
      </c>
      <c r="C1" t="s">
        <v>47</v>
      </c>
      <c r="D1" t="s">
        <v>101</v>
      </c>
    </row>
    <row r="2" spans="1:4" x14ac:dyDescent="0.25">
      <c r="A2" t="s">
        <v>49</v>
      </c>
      <c r="B2" s="6" t="s">
        <v>48</v>
      </c>
      <c r="C2">
        <v>2022</v>
      </c>
      <c r="D2" s="23">
        <v>1390.2649999999999</v>
      </c>
    </row>
    <row r="3" spans="1:4" x14ac:dyDescent="0.25">
      <c r="A3" t="s">
        <v>56</v>
      </c>
      <c r="B3" s="6" t="s">
        <v>50</v>
      </c>
      <c r="C3">
        <v>2022</v>
      </c>
    </row>
    <row r="4" spans="1:4" x14ac:dyDescent="0.25">
      <c r="A4" t="s">
        <v>57</v>
      </c>
      <c r="B4" s="6" t="s">
        <v>52</v>
      </c>
      <c r="C4">
        <v>2023</v>
      </c>
    </row>
    <row r="5" spans="1:4" x14ac:dyDescent="0.25">
      <c r="A5" t="s">
        <v>59</v>
      </c>
      <c r="B5" s="6" t="s">
        <v>51</v>
      </c>
      <c r="C5">
        <v>2024</v>
      </c>
    </row>
    <row r="6" spans="1:4" x14ac:dyDescent="0.25">
      <c r="A6" t="s">
        <v>58</v>
      </c>
      <c r="B6" s="6" t="s">
        <v>53</v>
      </c>
      <c r="C6">
        <v>2024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2D4C4-D5B6-44F3-80E0-2975B1242686}">
  <dimension ref="A2:B5"/>
  <sheetViews>
    <sheetView workbookViewId="0">
      <selection activeCell="E14" sqref="E14"/>
    </sheetView>
  </sheetViews>
  <sheetFormatPr defaultRowHeight="15" x14ac:dyDescent="0.25"/>
  <cols>
    <col min="1" max="1" width="9.140625" style="18"/>
  </cols>
  <sheetData>
    <row r="2" spans="1:2" x14ac:dyDescent="0.25">
      <c r="A2" s="18" t="s">
        <v>91</v>
      </c>
      <c r="B2" t="s">
        <v>92</v>
      </c>
    </row>
    <row r="3" spans="1:2" x14ac:dyDescent="0.25">
      <c r="A3" s="21" t="str">
        <f>""&amp;2022</f>
        <v>2022</v>
      </c>
      <c r="B3" s="15">
        <v>0.02</v>
      </c>
    </row>
    <row r="4" spans="1:2" x14ac:dyDescent="0.25">
      <c r="A4" s="21" t="str">
        <f>""&amp;2023</f>
        <v>2023</v>
      </c>
      <c r="B4" s="15">
        <v>0.03</v>
      </c>
    </row>
    <row r="5" spans="1:2" x14ac:dyDescent="0.25">
      <c r="A5" s="21" t="str">
        <f>""&amp;2024</f>
        <v>2024</v>
      </c>
      <c r="B5" s="15">
        <v>0.04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4BC1F-DCC8-4425-B5AB-BEA4B450C34C}">
  <dimension ref="A1:I12"/>
  <sheetViews>
    <sheetView workbookViewId="0">
      <selection activeCell="F1" sqref="F1"/>
    </sheetView>
  </sheetViews>
  <sheetFormatPr defaultRowHeight="15" x14ac:dyDescent="0.25"/>
  <cols>
    <col min="4" max="4" width="11.85546875" style="1" bestFit="1" customWidth="1"/>
    <col min="5" max="5" width="18.28515625" bestFit="1" customWidth="1"/>
    <col min="6" max="6" width="10.5703125" bestFit="1" customWidth="1"/>
    <col min="9" max="9" width="10.140625" bestFit="1" customWidth="1"/>
  </cols>
  <sheetData>
    <row r="1" spans="1:9" x14ac:dyDescent="0.25">
      <c r="A1" s="18" t="s">
        <v>91</v>
      </c>
      <c r="B1" t="s">
        <v>92</v>
      </c>
      <c r="E1" t="s">
        <v>102</v>
      </c>
      <c r="F1" s="22">
        <f>SUMIF(D2:D12, "&gt;0")</f>
        <v>0</v>
      </c>
      <c r="H1" s="1" t="s">
        <v>100</v>
      </c>
      <c r="I1" s="1" t="e">
        <f>VLOOKUP(SalesData!$B$1,DataSource1!$A$1:$J$13,10,FALSE)+F2</f>
        <v>#N/A</v>
      </c>
    </row>
    <row r="2" spans="1:9" x14ac:dyDescent="0.25">
      <c r="A2" t="e" cm="1" vm="2">
        <f t="array" ref="A2:A3">_xlfn.UNIQUE(TEXT(PaymentsFiltered!I:I,"yyyy") &amp; "")</f>
        <v>#VALUE!</v>
      </c>
      <c r="B2" t="e" vm="2">
        <f>VLOOKUP($A2, InstallmentCharges!A3:B5, 2, FALSE)</f>
        <v>#VALUE!</v>
      </c>
      <c r="D2" s="1" t="e">
        <f>VLOOKUP(SalesData!$B$1,DataSource1!$A$1:$J$13,10,FALSE)*$B2</f>
        <v>#N/A</v>
      </c>
    </row>
    <row r="3" spans="1:9" x14ac:dyDescent="0.25">
      <c r="A3" t="str">
        <v>1900</v>
      </c>
      <c r="B3" t="e">
        <f>VLOOKUP($A3, InstallmentCharges!A4:B6, 2, FALSE)</f>
        <v>#N/A</v>
      </c>
      <c r="D3" s="1" t="e">
        <f>VLOOKUP(SalesData!$B$1,DataSource1!$A$1:$J$13,10,FALSE)*$B3</f>
        <v>#N/A</v>
      </c>
    </row>
    <row r="4" spans="1:9" x14ac:dyDescent="0.25">
      <c r="B4" t="e">
        <f>VLOOKUP($A4, InstallmentCharges!A5:B7, 2, FALSE)</f>
        <v>#N/A</v>
      </c>
      <c r="D4" s="1" t="e">
        <f>VLOOKUP(SalesData!$B$1,DataSource1!$A$1:$J$13,10,FALSE)*$B4</f>
        <v>#N/A</v>
      </c>
    </row>
    <row r="5" spans="1:9" x14ac:dyDescent="0.25">
      <c r="B5" t="e">
        <f>VLOOKUP($A5, InstallmentCharges!A6:B8, 2, FALSE)</f>
        <v>#N/A</v>
      </c>
      <c r="D5" s="1" t="e">
        <f>VLOOKUP(SalesData!$B$1,DataSource1!$A$1:$J$13,10,FALSE)*$B5</f>
        <v>#N/A</v>
      </c>
    </row>
    <row r="6" spans="1:9" x14ac:dyDescent="0.25">
      <c r="B6" t="e">
        <f>VLOOKUP($A6, InstallmentCharges!A7:B9, 2, FALSE)</f>
        <v>#N/A</v>
      </c>
      <c r="D6" s="1" t="e">
        <f>VLOOKUP(SalesData!$B$1,DataSource1!$A$1:$J$13,10,FALSE)*$B6</f>
        <v>#N/A</v>
      </c>
    </row>
    <row r="7" spans="1:9" x14ac:dyDescent="0.25">
      <c r="B7" t="e">
        <f>VLOOKUP($A7, InstallmentCharges!A8:B10, 2, FALSE)</f>
        <v>#N/A</v>
      </c>
      <c r="D7" s="1" t="e">
        <f>VLOOKUP(SalesData!$B$1,DataSource1!$A$1:$J$13,10,FALSE)*$B7</f>
        <v>#N/A</v>
      </c>
    </row>
    <row r="8" spans="1:9" x14ac:dyDescent="0.25">
      <c r="B8" t="e">
        <f>VLOOKUP($A8, InstallmentCharges!A9:B11, 2, FALSE)</f>
        <v>#N/A</v>
      </c>
      <c r="D8" s="1" t="e">
        <f>VLOOKUP(SalesData!$B$1,DataSource1!$A$1:$J$13,10,FALSE)*$B8</f>
        <v>#N/A</v>
      </c>
    </row>
    <row r="9" spans="1:9" x14ac:dyDescent="0.25">
      <c r="B9" t="e">
        <f>VLOOKUP($A9, InstallmentCharges!A10:B12, 2, FALSE)</f>
        <v>#N/A</v>
      </c>
      <c r="D9" s="1" t="e">
        <f>VLOOKUP(SalesData!$B$1,DataSource1!$A$1:$J$13,10,FALSE)*$B9</f>
        <v>#N/A</v>
      </c>
    </row>
    <row r="10" spans="1:9" x14ac:dyDescent="0.25">
      <c r="B10" t="e">
        <f>VLOOKUP($A10, InstallmentCharges!A11:B13, 2, FALSE)</f>
        <v>#N/A</v>
      </c>
      <c r="D10" s="1" t="e">
        <f>VLOOKUP(SalesData!$B$1,DataSource1!$A$1:$J$13,10,FALSE)*$B10</f>
        <v>#N/A</v>
      </c>
    </row>
    <row r="11" spans="1:9" x14ac:dyDescent="0.25">
      <c r="B11" t="e">
        <f>VLOOKUP($A11, InstallmentCharges!A12:B14, 2, FALSE)</f>
        <v>#N/A</v>
      </c>
      <c r="D11" s="1" t="e">
        <f>VLOOKUP(SalesData!$B$1,DataSource1!$A$1:$J$13,10,FALSE)*$B11</f>
        <v>#N/A</v>
      </c>
    </row>
    <row r="12" spans="1:9" x14ac:dyDescent="0.25">
      <c r="B12" t="e">
        <f>VLOOKUP($A12, InstallmentCharges!A13:B15, 2, FALSE)</f>
        <v>#N/A</v>
      </c>
      <c r="D12" s="1" t="e">
        <f>VLOOKUP(SalesData!$B$1,DataSource1!$A$1:$J$13,10,FALSE)*$B12</f>
        <v>#N/A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FFD18-3AE4-4927-A35E-4884A12D929B}">
  <dimension ref="A1:B4"/>
  <sheetViews>
    <sheetView workbookViewId="0">
      <selection activeCell="C10" sqref="C10"/>
    </sheetView>
  </sheetViews>
  <sheetFormatPr defaultRowHeight="15" x14ac:dyDescent="0.25"/>
  <cols>
    <col min="1" max="1" width="24.7109375" customWidth="1"/>
  </cols>
  <sheetData>
    <row r="1" spans="1:2" x14ac:dyDescent="0.25">
      <c r="A1" t="s">
        <v>75</v>
      </c>
    </row>
    <row r="2" spans="1:2" x14ac:dyDescent="0.25">
      <c r="A2" t="s">
        <v>76</v>
      </c>
      <c r="B2" s="5"/>
    </row>
    <row r="3" spans="1:2" x14ac:dyDescent="0.25">
      <c r="A3" t="s">
        <v>77</v>
      </c>
      <c r="B3" s="5"/>
    </row>
    <row r="4" spans="1:2" x14ac:dyDescent="0.25">
      <c r="A4" t="s">
        <v>114</v>
      </c>
      <c r="B4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A159F-DD9E-4210-B9DE-86A846CF61DF}">
  <dimension ref="A2:I15"/>
  <sheetViews>
    <sheetView workbookViewId="0">
      <selection activeCell="B13" sqref="B13:B15"/>
    </sheetView>
  </sheetViews>
  <sheetFormatPr defaultRowHeight="15" x14ac:dyDescent="0.25"/>
  <cols>
    <col min="2" max="2" width="11.5703125" bestFit="1" customWidth="1"/>
    <col min="6" max="6" width="13.28515625" customWidth="1"/>
    <col min="7" max="7" width="11" bestFit="1" customWidth="1"/>
    <col min="8" max="8" width="10.42578125" bestFit="1" customWidth="1"/>
  </cols>
  <sheetData>
    <row r="2" spans="1:9" x14ac:dyDescent="0.25">
      <c r="A2" s="24" t="s">
        <v>107</v>
      </c>
      <c r="B2" s="24"/>
    </row>
    <row r="3" spans="1:9" x14ac:dyDescent="0.25">
      <c r="A3" t="s">
        <v>108</v>
      </c>
      <c r="B3" s="3" t="str">
        <f>SalesData!B9</f>
        <v/>
      </c>
    </row>
    <row r="4" spans="1:9" x14ac:dyDescent="0.25">
      <c r="A4" t="s">
        <v>109</v>
      </c>
      <c r="B4" s="3" t="str">
        <f>SalesData!B10</f>
        <v/>
      </c>
      <c r="G4" s="25"/>
      <c r="H4" s="25"/>
      <c r="I4" s="25"/>
    </row>
    <row r="5" spans="1:9" x14ac:dyDescent="0.25">
      <c r="A5" t="s">
        <v>112</v>
      </c>
      <c r="B5" s="22" t="str">
        <f>SalesData!B11</f>
        <v/>
      </c>
      <c r="G5" s="25"/>
      <c r="H5" s="25"/>
      <c r="I5" s="25"/>
    </row>
    <row r="6" spans="1:9" x14ac:dyDescent="0.25">
      <c r="G6" s="25"/>
      <c r="H6" s="25"/>
      <c r="I6" s="25"/>
    </row>
    <row r="7" spans="1:9" x14ac:dyDescent="0.25">
      <c r="A7" s="24" t="s">
        <v>110</v>
      </c>
      <c r="B7" s="24"/>
      <c r="G7" s="26"/>
      <c r="H7" s="25"/>
      <c r="I7" s="25"/>
    </row>
    <row r="8" spans="1:9" x14ac:dyDescent="0.25">
      <c r="A8" t="s">
        <v>108</v>
      </c>
      <c r="B8" s="3" t="e" vm="2">
        <f>SUM(PaymentsFiltered!F:F)</f>
        <v>#VALUE!</v>
      </c>
      <c r="G8" s="26"/>
      <c r="H8" s="25"/>
      <c r="I8" s="25"/>
    </row>
    <row r="9" spans="1:9" x14ac:dyDescent="0.25">
      <c r="A9" t="s">
        <v>109</v>
      </c>
      <c r="B9" s="3" t="e" vm="2">
        <f>SUM(PaymentsFiltered!G:G)</f>
        <v>#VALUE!</v>
      </c>
      <c r="G9" s="26"/>
      <c r="H9" s="25"/>
      <c r="I9" s="25"/>
    </row>
    <row r="10" spans="1:9" x14ac:dyDescent="0.25">
      <c r="A10" t="s">
        <v>113</v>
      </c>
      <c r="B10" s="22" t="e" vm="2">
        <f>SUM(PaymentsFiltered!H:H)</f>
        <v>#VALUE!</v>
      </c>
    </row>
    <row r="12" spans="1:9" x14ac:dyDescent="0.25">
      <c r="A12" s="24" t="s">
        <v>111</v>
      </c>
      <c r="B12" s="24"/>
    </row>
    <row r="13" spans="1:9" x14ac:dyDescent="0.25">
      <c r="A13" t="s">
        <v>108</v>
      </c>
      <c r="B13">
        <f>DataSource4!B2</f>
        <v>0</v>
      </c>
    </row>
    <row r="14" spans="1:9" x14ac:dyDescent="0.25">
      <c r="A14" t="s">
        <v>109</v>
      </c>
      <c r="B14">
        <f>DataSource4!B3</f>
        <v>0</v>
      </c>
    </row>
    <row r="15" spans="1:9" x14ac:dyDescent="0.25">
      <c r="A15" t="s">
        <v>113</v>
      </c>
      <c r="B15">
        <f>DataSource4!B4</f>
        <v>0</v>
      </c>
    </row>
  </sheetData>
  <mergeCells count="3">
    <mergeCell ref="A2:B2"/>
    <mergeCell ref="A7:B7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Intro</vt:lpstr>
      <vt:lpstr>Checklist</vt:lpstr>
      <vt:lpstr>DataSource1</vt:lpstr>
      <vt:lpstr>SalesRefs</vt:lpstr>
      <vt:lpstr>SalesData</vt:lpstr>
      <vt:lpstr>DataSource2</vt:lpstr>
      <vt:lpstr>PaymentsFiltered</vt:lpstr>
      <vt:lpstr>DataSource3</vt:lpstr>
      <vt:lpstr>InstallmentCharges</vt:lpstr>
      <vt:lpstr>InstallmentChargeCalculation</vt:lpstr>
      <vt:lpstr>DataSource4</vt:lpstr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Edwards</dc:creator>
  <cp:lastModifiedBy>Rob Edwards</cp:lastModifiedBy>
  <dcterms:created xsi:type="dcterms:W3CDTF">2024-09-21T01:17:22Z</dcterms:created>
  <dcterms:modified xsi:type="dcterms:W3CDTF">2024-11-03T01:55:25Z</dcterms:modified>
</cp:coreProperties>
</file>